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0515" windowHeight="4170"/>
  </bookViews>
  <sheets>
    <sheet name="Modelo Solver final" sheetId="3" r:id="rId1"/>
  </sheets>
  <definedNames>
    <definedName name="solver_adj" localSheetId="0" hidden="1">'Modelo Solver final'!$C$29:$V$29,'Modelo Solver final'!$C$31:$V$31,'Modelo Solver final'!$C$33:$V$33,'Modelo Solver final'!$C$62:$C$65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'Modelo Solver final'!$B$50:$B$54</definedName>
    <definedName name="solver_lhs2" localSheetId="0" hidden="1">'Modelo Solver final'!$B$41:$B$43</definedName>
    <definedName name="solver_lhs3" localSheetId="0" hidden="1">'Modelo Solver final'!$C$29:$V$29</definedName>
    <definedName name="solver_lhs4" localSheetId="0" hidden="1">'Modelo Solver final'!$C$31:$V$31</definedName>
    <definedName name="solver_lhs5" localSheetId="0" hidden="1">'Modelo Solver final'!$C$33:$V$33</definedName>
    <definedName name="solver_lhs6" localSheetId="0" hidden="1">'Modelo Solver final'!$C$62:$C$65</definedName>
    <definedName name="solver_lhs7" localSheetId="0" hidden="1">'Modelo Solver final'!$C$67</definedName>
    <definedName name="solver_lhs8" localSheetId="0" hidden="1">'Modelo Solver final'!$D$67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8</definedName>
    <definedName name="solver_nwt" localSheetId="0" hidden="1">1</definedName>
    <definedName name="solver_opt" localSheetId="0" hidden="1">'Modelo Solver final'!$C$36</definedName>
    <definedName name="solver_pre" localSheetId="0" hidden="1">0.000001</definedName>
    <definedName name="solver_rbv" localSheetId="0" hidden="1">2</definedName>
    <definedName name="solver_rel1" localSheetId="0" hidden="1">2</definedName>
    <definedName name="solver_rel2" localSheetId="0" hidden="1">2</definedName>
    <definedName name="solver_rel3" localSheetId="0" hidden="1">4</definedName>
    <definedName name="solver_rel4" localSheetId="0" hidden="1">4</definedName>
    <definedName name="solver_rel5" localSheetId="0" hidden="1">4</definedName>
    <definedName name="solver_rel6" localSheetId="0" hidden="1">5</definedName>
    <definedName name="solver_rel7" localSheetId="0" hidden="1">1</definedName>
    <definedName name="solver_rel8" localSheetId="0" hidden="1">2</definedName>
    <definedName name="solver_rhs1" localSheetId="0" hidden="1">'Modelo Solver final'!$C$50:$C$54</definedName>
    <definedName name="solver_rhs2" localSheetId="0" hidden="1">'Modelo Solver final'!$C$41:$C$43</definedName>
    <definedName name="solver_rhs3" localSheetId="0" hidden="1">entero</definedName>
    <definedName name="solver_rhs4" localSheetId="0" hidden="1">entero</definedName>
    <definedName name="solver_rhs5" localSheetId="0" hidden="1">entero</definedName>
    <definedName name="solver_rhs6" localSheetId="0" hidden="1">binario</definedName>
    <definedName name="solver_rhs7" localSheetId="0" hidden="1">'Modelo Solver final'!$C$68</definedName>
    <definedName name="solver_rhs8" localSheetId="0" hidden="1">'Modelo Solver final'!$M$18</definedName>
    <definedName name="solver_rlx" localSheetId="0" hidden="1">1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5</definedName>
    <definedName name="solver_tim" localSheetId="0" hidden="1">2147483647</definedName>
    <definedName name="solver_tol" localSheetId="0" hidden="1">0.00000001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M18" i="3" l="1"/>
  <c r="C67" i="3" l="1"/>
  <c r="B62" i="3" l="1"/>
  <c r="D62" i="3" s="1"/>
  <c r="B50" i="3"/>
  <c r="B51" i="3"/>
  <c r="B41" i="3"/>
  <c r="C41" i="3"/>
  <c r="B65" i="3"/>
  <c r="D65" i="3" s="1"/>
  <c r="B64" i="3"/>
  <c r="D64" i="3" s="1"/>
  <c r="B63" i="3"/>
  <c r="D63" i="3" s="1"/>
  <c r="D67" i="3" l="1"/>
  <c r="C54" i="3" l="1"/>
  <c r="B54" i="3"/>
  <c r="C53" i="3"/>
  <c r="B53" i="3"/>
  <c r="C52" i="3"/>
  <c r="B52" i="3"/>
  <c r="C51" i="3"/>
  <c r="C50" i="3"/>
  <c r="B43" i="3"/>
  <c r="B42" i="3"/>
  <c r="J17" i="3"/>
  <c r="J16" i="3"/>
  <c r="J15" i="3"/>
  <c r="J14" i="3"/>
  <c r="H14" i="3"/>
  <c r="H17" i="3"/>
  <c r="H16" i="3"/>
  <c r="H15" i="3"/>
  <c r="J13" i="3"/>
  <c r="H9" i="3"/>
  <c r="J12" i="3"/>
  <c r="F8" i="3"/>
  <c r="E7" i="3"/>
  <c r="J11" i="3"/>
  <c r="J10" i="3"/>
  <c r="D6" i="3"/>
  <c r="I13" i="3"/>
  <c r="I12" i="3"/>
  <c r="I11" i="3"/>
  <c r="I10" i="3"/>
  <c r="I9" i="3"/>
  <c r="I8" i="3"/>
  <c r="I7" i="3"/>
  <c r="I6" i="3"/>
  <c r="F16" i="3"/>
  <c r="G17" i="3"/>
  <c r="E15" i="3"/>
  <c r="D14" i="3"/>
  <c r="G9" i="3"/>
  <c r="G13" i="3"/>
  <c r="F12" i="3"/>
  <c r="E11" i="3"/>
  <c r="D10" i="3"/>
  <c r="H8" i="3"/>
  <c r="H7" i="3"/>
  <c r="H6" i="3"/>
  <c r="C36" i="3" l="1"/>
  <c r="C43" i="3"/>
  <c r="C42" i="3"/>
</calcChain>
</file>

<file path=xl/sharedStrings.xml><?xml version="1.0" encoding="utf-8"?>
<sst xmlns="http://schemas.openxmlformats.org/spreadsheetml/2006/main" count="125" uniqueCount="117">
  <si>
    <t>Europa</t>
  </si>
  <si>
    <t>NA</t>
  </si>
  <si>
    <t>Origen/Destino</t>
  </si>
  <si>
    <t>TRM</t>
  </si>
  <si>
    <t>Función objetivo</t>
  </si>
  <si>
    <t>USA</t>
  </si>
  <si>
    <t xml:space="preserve">USA </t>
  </si>
  <si>
    <t xml:space="preserve">Europa </t>
  </si>
  <si>
    <t>Bolombolo - Santa Fe de Antiquia (B-S)</t>
  </si>
  <si>
    <t>Puerto Berrio (PB)</t>
  </si>
  <si>
    <t>Buga (BG)</t>
  </si>
  <si>
    <t>Cartagena - Barranquilla CB)</t>
  </si>
  <si>
    <t xml:space="preserve">Medellín </t>
  </si>
  <si>
    <t xml:space="preserve">Cali </t>
  </si>
  <si>
    <t>Bogotá</t>
  </si>
  <si>
    <t>Medellín</t>
  </si>
  <si>
    <t>Medellín/(B-S)</t>
  </si>
  <si>
    <t>Medellín/(PB)</t>
  </si>
  <si>
    <t>Medellín/(BG)</t>
  </si>
  <si>
    <t>Medellín/(CB)</t>
  </si>
  <si>
    <t>Bogotá/(B-S)</t>
  </si>
  <si>
    <t>Bogotá/(PB)</t>
  </si>
  <si>
    <t>Bogotá/(BG)</t>
  </si>
  <si>
    <t>Bogotá/(CB)</t>
  </si>
  <si>
    <t>Cali/(B-S)</t>
  </si>
  <si>
    <t>Cali/(PB)</t>
  </si>
  <si>
    <t>Cali/(BG)</t>
  </si>
  <si>
    <t>Cali/(CB)</t>
  </si>
  <si>
    <t>MED-(B-S)-BOG</t>
  </si>
  <si>
    <t>MED-(PB)-BOG</t>
  </si>
  <si>
    <t>MED-(BG)-BOG</t>
  </si>
  <si>
    <t>MED-(CB)-BOG</t>
  </si>
  <si>
    <t>MED-(B-S)-CLO</t>
  </si>
  <si>
    <t>MED-(PB)-CLO</t>
  </si>
  <si>
    <t>MED-(BG)-CLO</t>
  </si>
  <si>
    <t>MED-(CB)-CLO</t>
  </si>
  <si>
    <t>MED-(B-S)-MED</t>
  </si>
  <si>
    <t>MED-(PB)-MED</t>
  </si>
  <si>
    <t>MED-(BG)-MED</t>
  </si>
  <si>
    <t>MED-(CB)-MED</t>
  </si>
  <si>
    <t>BOG-(B-S)-BOG</t>
  </si>
  <si>
    <t>BOG-(PB)-BOG</t>
  </si>
  <si>
    <t>BOG-(BG)-BOG</t>
  </si>
  <si>
    <t>BOG-(CB)-BOG</t>
  </si>
  <si>
    <t>BOG-(B-S)-CLO</t>
  </si>
  <si>
    <t>BOG-(PB)-CLO</t>
  </si>
  <si>
    <t>BOG-(BG)-CLO</t>
  </si>
  <si>
    <t>BOG-(CB)-CLO</t>
  </si>
  <si>
    <t>BOG-(B-S)-MED</t>
  </si>
  <si>
    <t>BOG-(PB)-MED</t>
  </si>
  <si>
    <t>BOG-(BG)-MED</t>
  </si>
  <si>
    <t>BOG-(CB)-MED</t>
  </si>
  <si>
    <t>MED-(B-S)-USA</t>
  </si>
  <si>
    <t>MED-(PB)-USA</t>
  </si>
  <si>
    <t>MED-(BG)-USA</t>
  </si>
  <si>
    <t>MED-(CB)-USA</t>
  </si>
  <si>
    <t>MED-(B-S)-EUR</t>
  </si>
  <si>
    <t>MED-(PB)-EUR</t>
  </si>
  <si>
    <t>MED-(BG)-EUR</t>
  </si>
  <si>
    <t>MED-(CB)-EUR</t>
  </si>
  <si>
    <t>BOG-(B-S)-USA</t>
  </si>
  <si>
    <t>BOG-(PB)-USA</t>
  </si>
  <si>
    <t>BOG-(BG)-USA</t>
  </si>
  <si>
    <t>BOG-(CB)-USA</t>
  </si>
  <si>
    <t>BOG-(B-S)-EUR</t>
  </si>
  <si>
    <t>BOG-(PB)-EUR</t>
  </si>
  <si>
    <t>BOG-(BG)-EUR</t>
  </si>
  <si>
    <t>BOG-(CB)-EUR</t>
  </si>
  <si>
    <t>CLO-(B-S)-CLO</t>
  </si>
  <si>
    <t>CLO-(PB)-CLO</t>
  </si>
  <si>
    <t>CLO-(BG)-CLO</t>
  </si>
  <si>
    <t>CLO-(CB)-CLO</t>
  </si>
  <si>
    <t>CLO-(B-S)-MED</t>
  </si>
  <si>
    <t>CLO-(PB)-MED</t>
  </si>
  <si>
    <t>CLO-(BG)-MED</t>
  </si>
  <si>
    <t>CLO-(CB)-MED</t>
  </si>
  <si>
    <t>CLO-(B-S)-USA</t>
  </si>
  <si>
    <t>CLO-(PB)-USA</t>
  </si>
  <si>
    <t>CLO-(BG)-USA</t>
  </si>
  <si>
    <t>CLO-(CB)-USA</t>
  </si>
  <si>
    <t>CLO-(B-S)-EUR</t>
  </si>
  <si>
    <t>CLO-(PB)-EUR</t>
  </si>
  <si>
    <t>CLO-(BG)-EUR</t>
  </si>
  <si>
    <t>CLO-(CB)-EUR</t>
  </si>
  <si>
    <t>CLO-(B-S)-BOG</t>
  </si>
  <si>
    <t>CLO-(PB)-BOG</t>
  </si>
  <si>
    <t>CLO-(BG)-BOG</t>
  </si>
  <si>
    <t>CLO-(CB)-BOG</t>
  </si>
  <si>
    <t>B-S</t>
  </si>
  <si>
    <t>PB</t>
  </si>
  <si>
    <t>BG</t>
  </si>
  <si>
    <t>CB</t>
  </si>
  <si>
    <t>Demanda</t>
  </si>
  <si>
    <t>Suma</t>
  </si>
  <si>
    <t>Capacidad</t>
  </si>
  <si>
    <t>Suma de variables</t>
  </si>
  <si>
    <t xml:space="preserve">Bogotá </t>
  </si>
  <si>
    <t>Cali</t>
  </si>
  <si>
    <t xml:space="preserve">Origen </t>
  </si>
  <si>
    <t>1 . Restricciones de capacidad</t>
  </si>
  <si>
    <t>2. Restricciones de demanda</t>
  </si>
  <si>
    <t>Mercado</t>
  </si>
  <si>
    <t>3. Restricción de número de plataformas logísticas</t>
  </si>
  <si>
    <t>Activación de plataforma logística</t>
  </si>
  <si>
    <t>Asignación total de carga</t>
  </si>
  <si>
    <t>Plataformas logísticas objetivo</t>
  </si>
  <si>
    <t>Plataformas logísticas  (Usd/contedor)*</t>
  </si>
  <si>
    <t>Destino  (Usd/contedor)*</t>
  </si>
  <si>
    <t>TOTAL DEMANDA (ton)**</t>
  </si>
  <si>
    <t>TOTAL PRODUCCIÓN***</t>
  </si>
  <si>
    <t xml:space="preserve">*** La producción es simulada. Cada compañía debe determinar la capacidad de cada origen </t>
  </si>
  <si>
    <t>**** La producción siempre debe ser igual a la demanda.  No se consideran supuestos de desbalance entre oferta y demanda</t>
  </si>
  <si>
    <t>SUPUESTOS:</t>
  </si>
  <si>
    <t>**Los flujos de demanda sólo deben considerarse para las ciudades de destino. Las demandas que se encuentran predeterminadas son simuladas.  Cada compañía tendrá que determinar sus propias demandas</t>
  </si>
  <si>
    <t>* La información de costos de transporte que se encuentra en el área sombreada es estimada.  Cada compañía tendrá que determinar su propia matriz de costos</t>
  </si>
  <si>
    <t xml:space="preserve">VARIABLES DE DECISIÓN </t>
  </si>
  <si>
    <t>Ton/cont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</si>
</sst>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5" xfId="0" applyBorder="1"/>
    <xf numFmtId="0" fontId="0" fillId="0" borderId="8" xfId="0" applyBorder="1"/>
    <xf numFmtId="43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0" fillId="0" borderId="3" xfId="0" applyBorder="1"/>
    <xf numFmtId="0" fontId="1" fillId="0" borderId="5" xfId="0" applyFont="1" applyBorder="1"/>
    <xf numFmtId="0" fontId="0" fillId="0" borderId="12" xfId="0" applyBorder="1"/>
    <xf numFmtId="0" fontId="0" fillId="0" borderId="14" xfId="0" applyBorder="1"/>
    <xf numFmtId="0" fontId="0" fillId="0" borderId="0" xfId="0" applyBorder="1"/>
    <xf numFmtId="164" fontId="0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164" fontId="0" fillId="2" borderId="0" xfId="0" applyNumberFormat="1" applyFill="1"/>
    <xf numFmtId="0" fontId="0" fillId="0" borderId="0" xfId="0" applyFill="1"/>
    <xf numFmtId="164" fontId="0" fillId="0" borderId="0" xfId="0" applyNumberFormat="1" applyFill="1"/>
    <xf numFmtId="164" fontId="0" fillId="0" borderId="0" xfId="1" applyNumberFormat="1" applyFont="1"/>
    <xf numFmtId="0" fontId="1" fillId="4" borderId="6" xfId="0" applyFont="1" applyFill="1" applyBorder="1"/>
    <xf numFmtId="0" fontId="1" fillId="4" borderId="7" xfId="0" applyFont="1" applyFill="1" applyBorder="1"/>
    <xf numFmtId="1" fontId="0" fillId="0" borderId="0" xfId="0" applyNumberFormat="1"/>
    <xf numFmtId="0" fontId="1" fillId="3" borderId="0" xfId="0" applyFont="1" applyFill="1"/>
    <xf numFmtId="0" fontId="1" fillId="3" borderId="0" xfId="0" applyFont="1" applyFill="1" applyAlignment="1">
      <alignment wrapText="1"/>
    </xf>
    <xf numFmtId="43" fontId="0" fillId="5" borderId="0" xfId="0" applyNumberFormat="1" applyFill="1"/>
    <xf numFmtId="0" fontId="1" fillId="0" borderId="4" xfId="0" applyFont="1" applyBorder="1"/>
    <xf numFmtId="164" fontId="0" fillId="6" borderId="1" xfId="1" applyNumberFormat="1" applyFont="1" applyFill="1" applyBorder="1" applyAlignment="1">
      <alignment horizontal="center"/>
    </xf>
    <xf numFmtId="164" fontId="0" fillId="6" borderId="1" xfId="1" applyNumberFormat="1" applyFont="1" applyFill="1" applyBorder="1" applyAlignment="1"/>
    <xf numFmtId="164" fontId="0" fillId="6" borderId="13" xfId="1" applyNumberFormat="1" applyFont="1" applyFill="1" applyBorder="1" applyAlignment="1">
      <alignment horizontal="center"/>
    </xf>
    <xf numFmtId="0" fontId="0" fillId="6" borderId="1" xfId="0" applyFill="1" applyBorder="1"/>
    <xf numFmtId="164" fontId="0" fillId="6" borderId="9" xfId="1" applyNumberFormat="1" applyFont="1" applyFill="1" applyBorder="1" applyAlignment="1"/>
    <xf numFmtId="164" fontId="0" fillId="6" borderId="9" xfId="1" applyNumberFormat="1" applyFont="1" applyFill="1" applyBorder="1" applyAlignment="1">
      <alignment horizontal="center"/>
    </xf>
    <xf numFmtId="164" fontId="0" fillId="6" borderId="10" xfId="1" applyNumberFormat="1" applyFont="1" applyFill="1" applyBorder="1" applyAlignment="1">
      <alignment horizontal="center"/>
    </xf>
    <xf numFmtId="164" fontId="0" fillId="6" borderId="6" xfId="1" applyNumberFormat="1" applyFont="1" applyFill="1" applyBorder="1" applyAlignment="1">
      <alignment horizontal="center"/>
    </xf>
    <xf numFmtId="164" fontId="0" fillId="6" borderId="3" xfId="1" applyNumberFormat="1" applyFont="1" applyFill="1" applyBorder="1" applyAlignment="1">
      <alignment horizontal="center"/>
    </xf>
    <xf numFmtId="164" fontId="0" fillId="6" borderId="3" xfId="1" applyNumberFormat="1" applyFont="1" applyFill="1" applyBorder="1" applyAlignment="1"/>
    <xf numFmtId="164" fontId="0" fillId="6" borderId="15" xfId="1" applyNumberFormat="1" applyFont="1" applyFill="1" applyBorder="1" applyAlignment="1">
      <alignment horizontal="center"/>
    </xf>
    <xf numFmtId="164" fontId="0" fillId="6" borderId="6" xfId="1" applyNumberFormat="1" applyFont="1" applyFill="1" applyBorder="1" applyAlignment="1"/>
    <xf numFmtId="164" fontId="0" fillId="6" borderId="7" xfId="1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wrapText="1"/>
    </xf>
    <xf numFmtId="0" fontId="1" fillId="7" borderId="6" xfId="0" applyFont="1" applyFill="1" applyBorder="1"/>
    <xf numFmtId="164" fontId="1" fillId="0" borderId="4" xfId="1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0" xfId="0" applyFont="1" applyBorder="1"/>
    <xf numFmtId="164" fontId="1" fillId="0" borderId="0" xfId="1" applyNumberFormat="1" applyFont="1" applyBorder="1" applyAlignment="1">
      <alignment horizontal="center"/>
    </xf>
    <xf numFmtId="164" fontId="1" fillId="0" borderId="0" xfId="0" applyNumberFormat="1" applyFont="1" applyBorder="1"/>
    <xf numFmtId="164" fontId="1" fillId="0" borderId="18" xfId="1" applyNumberFormat="1" applyFont="1" applyBorder="1" applyAlignment="1">
      <alignment horizontal="center"/>
    </xf>
    <xf numFmtId="164" fontId="1" fillId="0" borderId="19" xfId="1" applyNumberFormat="1" applyFont="1" applyBorder="1" applyAlignment="1">
      <alignment horizontal="center"/>
    </xf>
    <xf numFmtId="0" fontId="0" fillId="0" borderId="20" xfId="0" applyFont="1" applyBorder="1"/>
    <xf numFmtId="164" fontId="1" fillId="0" borderId="21" xfId="1" applyNumberFormat="1" applyFont="1" applyBorder="1" applyAlignment="1">
      <alignment horizontal="center"/>
    </xf>
    <xf numFmtId="0" fontId="0" fillId="0" borderId="22" xfId="0" applyFont="1" applyBorder="1"/>
    <xf numFmtId="164" fontId="1" fillId="0" borderId="23" xfId="1" applyNumberFormat="1" applyFont="1" applyBorder="1" applyAlignment="1">
      <alignment horizontal="center"/>
    </xf>
    <xf numFmtId="164" fontId="1" fillId="0" borderId="24" xfId="1" applyNumberFormat="1" applyFont="1" applyBorder="1" applyAlignment="1">
      <alignment horizontal="center"/>
    </xf>
    <xf numFmtId="0" fontId="3" fillId="4" borderId="17" xfId="0" applyFont="1" applyFill="1" applyBorder="1"/>
    <xf numFmtId="0" fontId="0" fillId="0" borderId="18" xfId="0" applyBorder="1"/>
    <xf numFmtId="164" fontId="0" fillId="0" borderId="18" xfId="1" applyNumberFormat="1" applyFont="1" applyFill="1" applyBorder="1" applyAlignment="1">
      <alignment horizontal="center"/>
    </xf>
    <xf numFmtId="164" fontId="2" fillId="0" borderId="18" xfId="1" applyNumberFormat="1" applyFon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20" xfId="0" applyFill="1" applyBorder="1"/>
    <xf numFmtId="0" fontId="0" fillId="2" borderId="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/>
    <xf numFmtId="0" fontId="0" fillId="0" borderId="0" xfId="0" applyFill="1" applyBorder="1"/>
    <xf numFmtId="164" fontId="1" fillId="0" borderId="14" xfId="1" applyNumberFormat="1" applyFont="1" applyBorder="1" applyAlignment="1">
      <alignment horizontal="center"/>
    </xf>
    <xf numFmtId="164" fontId="1" fillId="0" borderId="11" xfId="1" applyNumberFormat="1" applyFont="1" applyBorder="1" applyAlignment="1">
      <alignment horizontal="center"/>
    </xf>
    <xf numFmtId="164" fontId="1" fillId="0" borderId="16" xfId="1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tabSelected="1" topLeftCell="A24" zoomScale="70" zoomScaleNormal="70" workbookViewId="0">
      <selection activeCell="E40" sqref="E40"/>
    </sheetView>
  </sheetViews>
  <sheetFormatPr baseColWidth="10" defaultRowHeight="15" x14ac:dyDescent="0.25"/>
  <cols>
    <col min="2" max="2" width="23.85546875" customWidth="1"/>
    <col min="3" max="3" width="30.42578125" customWidth="1"/>
    <col min="4" max="4" width="23.140625" bestFit="1" customWidth="1"/>
    <col min="5" max="5" width="25.42578125" bestFit="1" customWidth="1"/>
    <col min="6" max="6" width="23" bestFit="1" customWidth="1"/>
    <col min="7" max="7" width="22.28515625" bestFit="1" customWidth="1"/>
    <col min="8" max="10" width="17.5703125" bestFit="1" customWidth="1"/>
    <col min="11" max="11" width="18.7109375" customWidth="1"/>
    <col min="12" max="12" width="18.28515625" bestFit="1" customWidth="1"/>
    <col min="13" max="13" width="29.140625" bestFit="1" customWidth="1"/>
    <col min="14" max="14" width="18.28515625" bestFit="1" customWidth="1"/>
    <col min="15" max="15" width="18" bestFit="1" customWidth="1"/>
    <col min="16" max="18" width="17.5703125" bestFit="1" customWidth="1"/>
    <col min="19" max="19" width="18" bestFit="1" customWidth="1"/>
    <col min="20" max="22" width="17.5703125" bestFit="1" customWidth="1"/>
  </cols>
  <sheetData>
    <row r="1" spans="1:13" x14ac:dyDescent="0.25">
      <c r="A1" s="1" t="s">
        <v>3</v>
      </c>
      <c r="B1" s="1">
        <v>1900</v>
      </c>
    </row>
    <row r="2" spans="1:13" x14ac:dyDescent="0.25">
      <c r="A2" s="1" t="s">
        <v>116</v>
      </c>
      <c r="B2" s="1">
        <v>22</v>
      </c>
    </row>
    <row r="3" spans="1:13" x14ac:dyDescent="0.25">
      <c r="B3" s="1"/>
      <c r="C3" s="1"/>
    </row>
    <row r="4" spans="1:13" ht="15.75" thickBot="1" x14ac:dyDescent="0.3">
      <c r="C4" s="8"/>
      <c r="D4" s="70" t="s">
        <v>106</v>
      </c>
      <c r="E4" s="70"/>
      <c r="F4" s="70"/>
      <c r="G4" s="70"/>
      <c r="H4" s="71" t="s">
        <v>107</v>
      </c>
      <c r="I4" s="71"/>
      <c r="J4" s="71"/>
      <c r="K4" s="71"/>
      <c r="L4" s="71"/>
      <c r="M4" s="7"/>
    </row>
    <row r="5" spans="1:13" ht="30" x14ac:dyDescent="0.25">
      <c r="C5" s="9" t="s">
        <v>2</v>
      </c>
      <c r="D5" s="39" t="s">
        <v>8</v>
      </c>
      <c r="E5" s="40" t="s">
        <v>9</v>
      </c>
      <c r="F5" s="40" t="s">
        <v>10</v>
      </c>
      <c r="G5" s="39" t="s">
        <v>11</v>
      </c>
      <c r="H5" s="19" t="s">
        <v>14</v>
      </c>
      <c r="I5" s="19" t="s">
        <v>13</v>
      </c>
      <c r="J5" s="19" t="s">
        <v>15</v>
      </c>
      <c r="K5" s="19" t="s">
        <v>6</v>
      </c>
      <c r="L5" s="20" t="s">
        <v>7</v>
      </c>
      <c r="M5" s="6" t="s">
        <v>109</v>
      </c>
    </row>
    <row r="6" spans="1:13" x14ac:dyDescent="0.25">
      <c r="C6" s="10" t="s">
        <v>16</v>
      </c>
      <c r="D6" s="26">
        <f>27000*30/$B$1</f>
        <v>426.31578947368422</v>
      </c>
      <c r="E6" s="27"/>
      <c r="F6" s="27"/>
      <c r="G6" s="27"/>
      <c r="H6" s="27">
        <f>2200000/B1</f>
        <v>1157.8947368421052</v>
      </c>
      <c r="I6" s="27">
        <f>1600000/$B$1</f>
        <v>842.10526315789468</v>
      </c>
      <c r="J6" s="27">
        <v>0</v>
      </c>
      <c r="K6" s="26">
        <v>5800</v>
      </c>
      <c r="L6" s="28">
        <v>7400</v>
      </c>
      <c r="M6" s="67">
        <v>230</v>
      </c>
    </row>
    <row r="7" spans="1:13" x14ac:dyDescent="0.25">
      <c r="C7" s="10" t="s">
        <v>17</v>
      </c>
      <c r="D7" s="29"/>
      <c r="E7" s="27">
        <f>35000*30/$B$1</f>
        <v>552.63157894736844</v>
      </c>
      <c r="F7" s="26"/>
      <c r="G7" s="26"/>
      <c r="H7" s="26">
        <f>1450000/$B$1</f>
        <v>763.15789473684208</v>
      </c>
      <c r="I7" s="26">
        <f>2000000/$B$1</f>
        <v>1052.6315789473683</v>
      </c>
      <c r="J7" s="27">
        <v>0</v>
      </c>
      <c r="K7" s="26">
        <v>5400</v>
      </c>
      <c r="L7" s="28">
        <v>7150</v>
      </c>
      <c r="M7" s="68"/>
    </row>
    <row r="8" spans="1:13" x14ac:dyDescent="0.25">
      <c r="C8" s="10" t="s">
        <v>18</v>
      </c>
      <c r="D8" s="29"/>
      <c r="E8" s="26"/>
      <c r="F8" s="27">
        <f>1400000/$B$1</f>
        <v>736.84210526315792</v>
      </c>
      <c r="G8" s="26"/>
      <c r="H8" s="26">
        <f>2300000/$B$1</f>
        <v>1210.5263157894738</v>
      </c>
      <c r="I8" s="26">
        <f>450000/$B$1</f>
        <v>236.84210526315789</v>
      </c>
      <c r="J8" s="27">
        <v>0</v>
      </c>
      <c r="K8" s="26">
        <v>6200</v>
      </c>
      <c r="L8" s="28">
        <v>6500</v>
      </c>
      <c r="M8" s="68"/>
    </row>
    <row r="9" spans="1:13" ht="15.75" thickBot="1" x14ac:dyDescent="0.3">
      <c r="C9" s="4" t="s">
        <v>19</v>
      </c>
      <c r="D9" s="30"/>
      <c r="E9" s="31"/>
      <c r="F9" s="31"/>
      <c r="G9" s="27">
        <f>1610000/$B$1</f>
        <v>847.36842105263156</v>
      </c>
      <c r="H9" s="31">
        <f>4600000/$B$1</f>
        <v>2421.0526315789475</v>
      </c>
      <c r="I9" s="31">
        <f>5600000/$B$1</f>
        <v>2947.3684210526317</v>
      </c>
      <c r="J9" s="31">
        <v>0</v>
      </c>
      <c r="K9" s="31">
        <v>3400</v>
      </c>
      <c r="L9" s="32">
        <v>4200</v>
      </c>
      <c r="M9" s="69"/>
    </row>
    <row r="10" spans="1:13" x14ac:dyDescent="0.25">
      <c r="C10" s="3" t="s">
        <v>20</v>
      </c>
      <c r="D10" s="26">
        <f>153000*30/$B$1</f>
        <v>2415.7894736842104</v>
      </c>
      <c r="E10" s="33"/>
      <c r="F10" s="33"/>
      <c r="G10" s="33"/>
      <c r="H10" s="33">
        <v>0</v>
      </c>
      <c r="I10" s="27">
        <f>1600000/$B$1</f>
        <v>842.10526315789468</v>
      </c>
      <c r="J10" s="33">
        <f>25000*30/$B$1</f>
        <v>394.73684210526318</v>
      </c>
      <c r="K10" s="26">
        <v>5800</v>
      </c>
      <c r="L10" s="28">
        <v>7400</v>
      </c>
      <c r="M10" s="67">
        <v>450</v>
      </c>
    </row>
    <row r="11" spans="1:13" x14ac:dyDescent="0.25">
      <c r="C11" s="10" t="s">
        <v>21</v>
      </c>
      <c r="D11" s="26"/>
      <c r="E11" s="27">
        <f>34000*30/$B$1</f>
        <v>536.84210526315792</v>
      </c>
      <c r="F11" s="26"/>
      <c r="G11" s="26"/>
      <c r="H11" s="26">
        <v>0</v>
      </c>
      <c r="I11" s="26">
        <f>2000000/$B$1</f>
        <v>1052.6315789473683</v>
      </c>
      <c r="J11" s="26">
        <f>30000*30/$B$1</f>
        <v>473.68421052631578</v>
      </c>
      <c r="K11" s="26">
        <v>5400</v>
      </c>
      <c r="L11" s="28">
        <v>7150</v>
      </c>
      <c r="M11" s="68"/>
    </row>
    <row r="12" spans="1:13" x14ac:dyDescent="0.25">
      <c r="C12" s="10" t="s">
        <v>22</v>
      </c>
      <c r="D12" s="26"/>
      <c r="E12" s="26"/>
      <c r="F12" s="27">
        <f>1450000/$B$1</f>
        <v>763.15789473684208</v>
      </c>
      <c r="G12" s="26"/>
      <c r="H12" s="26">
        <v>0</v>
      </c>
      <c r="I12" s="26">
        <f>450000/$B$1</f>
        <v>236.84210526315789</v>
      </c>
      <c r="J12" s="26">
        <f>1700000/$B$1</f>
        <v>894.73684210526312</v>
      </c>
      <c r="K12" s="26">
        <v>6200</v>
      </c>
      <c r="L12" s="28">
        <v>6500</v>
      </c>
      <c r="M12" s="68"/>
    </row>
    <row r="13" spans="1:13" ht="15.75" thickBot="1" x14ac:dyDescent="0.3">
      <c r="C13" s="11" t="s">
        <v>23</v>
      </c>
      <c r="D13" s="34"/>
      <c r="E13" s="34"/>
      <c r="F13" s="34"/>
      <c r="G13" s="35">
        <f>2100000/$B$1</f>
        <v>1105.2631578947369</v>
      </c>
      <c r="H13" s="34">
        <v>0</v>
      </c>
      <c r="I13" s="34">
        <f>5600000/$B$1</f>
        <v>2947.3684210526317</v>
      </c>
      <c r="J13" s="34">
        <f>4230000/$B$1</f>
        <v>2226.3157894736842</v>
      </c>
      <c r="K13" s="34">
        <v>3400</v>
      </c>
      <c r="L13" s="36">
        <v>4200</v>
      </c>
      <c r="M13" s="69"/>
    </row>
    <row r="14" spans="1:13" x14ac:dyDescent="0.25">
      <c r="C14" s="3" t="s">
        <v>24</v>
      </c>
      <c r="D14" s="33">
        <f>53000*30/$B$1</f>
        <v>836.84210526315792</v>
      </c>
      <c r="E14" s="37"/>
      <c r="F14" s="37"/>
      <c r="G14" s="37"/>
      <c r="H14" s="37">
        <f>2200000/B1</f>
        <v>1157.8947368421052</v>
      </c>
      <c r="I14" s="33">
        <v>0</v>
      </c>
      <c r="J14" s="33">
        <f>25000*30/$B$1</f>
        <v>394.73684210526318</v>
      </c>
      <c r="K14" s="33">
        <v>5800</v>
      </c>
      <c r="L14" s="38">
        <v>7400</v>
      </c>
      <c r="M14" s="67">
        <v>92</v>
      </c>
    </row>
    <row r="15" spans="1:13" x14ac:dyDescent="0.25">
      <c r="C15" s="10" t="s">
        <v>25</v>
      </c>
      <c r="D15" s="29"/>
      <c r="E15" s="26">
        <f>2100000/$B$1</f>
        <v>1105.2631578947369</v>
      </c>
      <c r="F15" s="26"/>
      <c r="G15" s="26"/>
      <c r="H15" s="26">
        <f>1450000/$B$1</f>
        <v>763.15789473684208</v>
      </c>
      <c r="I15" s="26">
        <v>0</v>
      </c>
      <c r="J15" s="26">
        <f>30000*30/$B$1</f>
        <v>473.68421052631578</v>
      </c>
      <c r="K15" s="26">
        <v>5400</v>
      </c>
      <c r="L15" s="28">
        <v>7150</v>
      </c>
      <c r="M15" s="68"/>
    </row>
    <row r="16" spans="1:13" x14ac:dyDescent="0.25">
      <c r="C16" s="10" t="s">
        <v>26</v>
      </c>
      <c r="D16" s="29"/>
      <c r="E16" s="26"/>
      <c r="F16" s="27">
        <f>450000/B1</f>
        <v>236.84210526315789</v>
      </c>
      <c r="G16" s="26"/>
      <c r="H16" s="26">
        <f>2300000/$B$1</f>
        <v>1210.5263157894738</v>
      </c>
      <c r="I16" s="26">
        <v>0</v>
      </c>
      <c r="J16" s="26">
        <f>1700000/$B$1</f>
        <v>894.73684210526312</v>
      </c>
      <c r="K16" s="26">
        <v>6200</v>
      </c>
      <c r="L16" s="28">
        <v>6500</v>
      </c>
      <c r="M16" s="68"/>
    </row>
    <row r="17" spans="3:22" ht="15.75" thickBot="1" x14ac:dyDescent="0.3">
      <c r="C17" s="4" t="s">
        <v>27</v>
      </c>
      <c r="D17" s="30"/>
      <c r="E17" s="31"/>
      <c r="F17" s="31"/>
      <c r="G17" s="30">
        <f>5600000/$B$1</f>
        <v>2947.3684210526317</v>
      </c>
      <c r="H17" s="31">
        <f>4600000/$B$1</f>
        <v>2421.0526315789475</v>
      </c>
      <c r="I17" s="31">
        <v>0</v>
      </c>
      <c r="J17" s="31">
        <f>4230000/$B$1</f>
        <v>2226.3157894736842</v>
      </c>
      <c r="K17" s="31">
        <v>3400</v>
      </c>
      <c r="L17" s="32">
        <v>4200</v>
      </c>
      <c r="M17" s="69"/>
    </row>
    <row r="18" spans="3:22" x14ac:dyDescent="0.25">
      <c r="C18" s="25" t="s">
        <v>108</v>
      </c>
      <c r="D18" s="41" t="s">
        <v>1</v>
      </c>
      <c r="E18" s="41" t="s">
        <v>1</v>
      </c>
      <c r="F18" s="41" t="s">
        <v>1</v>
      </c>
      <c r="G18" s="41" t="s">
        <v>1</v>
      </c>
      <c r="H18" s="41">
        <v>293.36</v>
      </c>
      <c r="I18" s="41">
        <v>108.08000000000001</v>
      </c>
      <c r="J18" s="41">
        <v>169.84</v>
      </c>
      <c r="K18" s="41">
        <v>154.4</v>
      </c>
      <c r="L18" s="41">
        <v>46.32</v>
      </c>
      <c r="M18" s="42">
        <f>+SUM(M6:M17)</f>
        <v>772</v>
      </c>
    </row>
    <row r="19" spans="3:22" ht="15.75" thickBot="1" x14ac:dyDescent="0.3"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5"/>
    </row>
    <row r="20" spans="3:22" x14ac:dyDescent="0.25">
      <c r="C20" s="53" t="s">
        <v>112</v>
      </c>
      <c r="D20" s="46"/>
      <c r="E20" s="46"/>
      <c r="F20" s="46"/>
      <c r="G20" s="46"/>
      <c r="H20" s="46"/>
      <c r="I20" s="46"/>
      <c r="J20" s="46"/>
      <c r="K20" s="46"/>
      <c r="L20" s="47"/>
      <c r="M20" s="45"/>
    </row>
    <row r="21" spans="3:22" x14ac:dyDescent="0.25">
      <c r="C21" s="48" t="s">
        <v>114</v>
      </c>
      <c r="D21" s="44"/>
      <c r="E21" s="44"/>
      <c r="F21" s="44"/>
      <c r="G21" s="44"/>
      <c r="H21" s="44"/>
      <c r="I21" s="44"/>
      <c r="J21" s="44"/>
      <c r="K21" s="44"/>
      <c r="L21" s="49"/>
      <c r="M21" s="45"/>
    </row>
    <row r="22" spans="3:22" x14ac:dyDescent="0.25">
      <c r="C22" s="48" t="s">
        <v>113</v>
      </c>
      <c r="D22" s="44"/>
      <c r="E22" s="44"/>
      <c r="F22" s="44"/>
      <c r="G22" s="44"/>
      <c r="H22" s="44"/>
      <c r="I22" s="44"/>
      <c r="J22" s="44"/>
      <c r="K22" s="44"/>
      <c r="L22" s="49"/>
      <c r="M22" s="45"/>
    </row>
    <row r="23" spans="3:22" x14ac:dyDescent="0.25">
      <c r="C23" s="48" t="s">
        <v>110</v>
      </c>
      <c r="D23" s="44"/>
      <c r="E23" s="44"/>
      <c r="F23" s="44"/>
      <c r="G23" s="44"/>
      <c r="H23" s="44"/>
      <c r="I23" s="44"/>
      <c r="J23" s="44"/>
      <c r="K23" s="44"/>
      <c r="L23" s="49"/>
      <c r="M23" s="45"/>
    </row>
    <row r="24" spans="3:22" ht="15.75" thickBot="1" x14ac:dyDescent="0.3">
      <c r="C24" s="50" t="s">
        <v>111</v>
      </c>
      <c r="D24" s="51"/>
      <c r="E24" s="51"/>
      <c r="F24" s="51"/>
      <c r="G24" s="51"/>
      <c r="H24" s="51"/>
      <c r="I24" s="51"/>
      <c r="J24" s="51"/>
      <c r="K24" s="51"/>
      <c r="L24" s="52"/>
      <c r="M24" s="45"/>
    </row>
    <row r="25" spans="3:22" x14ac:dyDescent="0.25">
      <c r="H25" s="12"/>
      <c r="I25" s="13"/>
      <c r="J25" s="12"/>
      <c r="K25" s="14"/>
      <c r="L25" s="14"/>
      <c r="M25" s="12"/>
    </row>
    <row r="26" spans="3:22" ht="15.75" thickBot="1" x14ac:dyDescent="0.3">
      <c r="H26" s="12"/>
      <c r="I26" s="13"/>
      <c r="J26" s="12"/>
      <c r="K26" s="14"/>
      <c r="L26" s="14"/>
      <c r="M26" s="12"/>
    </row>
    <row r="27" spans="3:22" x14ac:dyDescent="0.25">
      <c r="C27" s="53" t="s">
        <v>115</v>
      </c>
      <c r="D27" s="54"/>
      <c r="E27" s="54"/>
      <c r="F27" s="54"/>
      <c r="G27" s="54"/>
      <c r="H27" s="54"/>
      <c r="I27" s="55"/>
      <c r="J27" s="54"/>
      <c r="K27" s="56"/>
      <c r="L27" s="56"/>
      <c r="M27" s="54"/>
      <c r="N27" s="54"/>
      <c r="O27" s="54"/>
      <c r="P27" s="54"/>
      <c r="Q27" s="54"/>
      <c r="R27" s="54"/>
      <c r="S27" s="54"/>
      <c r="T27" s="54"/>
      <c r="U27" s="54"/>
      <c r="V27" s="57"/>
    </row>
    <row r="28" spans="3:22" x14ac:dyDescent="0.25">
      <c r="C28" s="58" t="s">
        <v>28</v>
      </c>
      <c r="D28" s="12" t="s">
        <v>29</v>
      </c>
      <c r="E28" s="12" t="s">
        <v>30</v>
      </c>
      <c r="F28" s="12" t="s">
        <v>31</v>
      </c>
      <c r="G28" s="12" t="s">
        <v>32</v>
      </c>
      <c r="H28" s="12" t="s">
        <v>33</v>
      </c>
      <c r="I28" s="12" t="s">
        <v>34</v>
      </c>
      <c r="J28" s="12" t="s">
        <v>35</v>
      </c>
      <c r="K28" s="12" t="s">
        <v>36</v>
      </c>
      <c r="L28" s="12" t="s">
        <v>37</v>
      </c>
      <c r="M28" s="12" t="s">
        <v>38</v>
      </c>
      <c r="N28" s="12" t="s">
        <v>39</v>
      </c>
      <c r="O28" s="12" t="s">
        <v>52</v>
      </c>
      <c r="P28" s="12" t="s">
        <v>53</v>
      </c>
      <c r="Q28" s="12" t="s">
        <v>54</v>
      </c>
      <c r="R28" s="12" t="s">
        <v>55</v>
      </c>
      <c r="S28" s="12" t="s">
        <v>56</v>
      </c>
      <c r="T28" s="12" t="s">
        <v>57</v>
      </c>
      <c r="U28" s="12" t="s">
        <v>58</v>
      </c>
      <c r="V28" s="59" t="s">
        <v>59</v>
      </c>
    </row>
    <row r="29" spans="3:22" x14ac:dyDescent="0.25">
      <c r="C29" s="60">
        <v>0</v>
      </c>
      <c r="D29" s="61">
        <v>0</v>
      </c>
      <c r="E29" s="61">
        <v>0</v>
      </c>
      <c r="F29" s="61">
        <v>0</v>
      </c>
      <c r="G29" s="61">
        <v>1.7139238547753245E-7</v>
      </c>
      <c r="H29" s="61">
        <v>16.080004337266633</v>
      </c>
      <c r="I29" s="61">
        <v>3.2136090360482605E-7</v>
      </c>
      <c r="J29" s="61">
        <v>0</v>
      </c>
      <c r="K29" s="61">
        <v>6.4272141107451281E-8</v>
      </c>
      <c r="L29" s="61">
        <v>169.83999813963155</v>
      </c>
      <c r="M29" s="61">
        <v>0</v>
      </c>
      <c r="N29" s="61">
        <v>0</v>
      </c>
      <c r="O29" s="61">
        <v>0</v>
      </c>
      <c r="P29" s="61">
        <v>43.549853495099342</v>
      </c>
      <c r="Q29" s="61">
        <v>0</v>
      </c>
      <c r="R29" s="61">
        <v>8.6767463930590307E-7</v>
      </c>
      <c r="S29" s="61">
        <v>0</v>
      </c>
      <c r="T29" s="61">
        <v>0.53014189214360519</v>
      </c>
      <c r="U29" s="61">
        <v>2.3700362642685335E-7</v>
      </c>
      <c r="V29" s="62">
        <v>1.3510549479654056E-6</v>
      </c>
    </row>
    <row r="30" spans="3:22" x14ac:dyDescent="0.25">
      <c r="C30" s="58" t="s">
        <v>40</v>
      </c>
      <c r="D30" s="12" t="s">
        <v>41</v>
      </c>
      <c r="E30" s="12" t="s">
        <v>42</v>
      </c>
      <c r="F30" s="12" t="s">
        <v>43</v>
      </c>
      <c r="G30" s="12" t="s">
        <v>44</v>
      </c>
      <c r="H30" s="12" t="s">
        <v>45</v>
      </c>
      <c r="I30" s="12" t="s">
        <v>46</v>
      </c>
      <c r="J30" s="12" t="s">
        <v>47</v>
      </c>
      <c r="K30" s="12" t="s">
        <v>48</v>
      </c>
      <c r="L30" s="12" t="s">
        <v>49</v>
      </c>
      <c r="M30" s="12" t="s">
        <v>50</v>
      </c>
      <c r="N30" s="12" t="s">
        <v>51</v>
      </c>
      <c r="O30" s="12" t="s">
        <v>60</v>
      </c>
      <c r="P30" s="12" t="s">
        <v>61</v>
      </c>
      <c r="Q30" s="12" t="s">
        <v>62</v>
      </c>
      <c r="R30" s="12" t="s">
        <v>63</v>
      </c>
      <c r="S30" s="12" t="s">
        <v>64</v>
      </c>
      <c r="T30" s="12" t="s">
        <v>65</v>
      </c>
      <c r="U30" s="12" t="s">
        <v>66</v>
      </c>
      <c r="V30" s="59" t="s">
        <v>67</v>
      </c>
    </row>
    <row r="31" spans="3:22" x14ac:dyDescent="0.25">
      <c r="C31" s="60">
        <v>0</v>
      </c>
      <c r="D31" s="61">
        <v>293.36000400803368</v>
      </c>
      <c r="E31" s="61">
        <v>0</v>
      </c>
      <c r="F31" s="61">
        <v>0</v>
      </c>
      <c r="G31" s="61">
        <v>0</v>
      </c>
      <c r="H31" s="61">
        <v>0</v>
      </c>
      <c r="I31" s="61">
        <v>2.9993672352340627E-7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110.85014372127318</v>
      </c>
      <c r="Q31" s="61">
        <v>0</v>
      </c>
      <c r="R31" s="61">
        <v>7.2841816337439313E-7</v>
      </c>
      <c r="S31" s="61">
        <v>0</v>
      </c>
      <c r="T31" s="61">
        <v>45.7898551205949</v>
      </c>
      <c r="U31" s="61">
        <v>2.1557944634543367E-7</v>
      </c>
      <c r="V31" s="62">
        <v>1.2117984720338957E-6</v>
      </c>
    </row>
    <row r="32" spans="3:22" x14ac:dyDescent="0.25">
      <c r="C32" s="58" t="s">
        <v>84</v>
      </c>
      <c r="D32" s="12" t="s">
        <v>85</v>
      </c>
      <c r="E32" s="12" t="s">
        <v>86</v>
      </c>
      <c r="F32" s="12" t="s">
        <v>87</v>
      </c>
      <c r="G32" s="12" t="s">
        <v>68</v>
      </c>
      <c r="H32" s="12" t="s">
        <v>69</v>
      </c>
      <c r="I32" s="12" t="s">
        <v>70</v>
      </c>
      <c r="J32" s="12" t="s">
        <v>71</v>
      </c>
      <c r="K32" s="12" t="s">
        <v>72</v>
      </c>
      <c r="L32" s="12" t="s">
        <v>73</v>
      </c>
      <c r="M32" s="12" t="s">
        <v>74</v>
      </c>
      <c r="N32" s="12" t="s">
        <v>75</v>
      </c>
      <c r="O32" s="12" t="s">
        <v>76</v>
      </c>
      <c r="P32" s="12" t="s">
        <v>77</v>
      </c>
      <c r="Q32" s="12" t="s">
        <v>78</v>
      </c>
      <c r="R32" s="12" t="s">
        <v>79</v>
      </c>
      <c r="S32" s="12" t="s">
        <v>80</v>
      </c>
      <c r="T32" s="12" t="s">
        <v>81</v>
      </c>
      <c r="U32" s="12" t="s">
        <v>82</v>
      </c>
      <c r="V32" s="59" t="s">
        <v>83</v>
      </c>
    </row>
    <row r="33" spans="1:22" ht="15.75" thickBot="1" x14ac:dyDescent="0.3">
      <c r="C33" s="63">
        <v>0</v>
      </c>
      <c r="D33" s="64">
        <v>0</v>
      </c>
      <c r="E33" s="64">
        <v>0</v>
      </c>
      <c r="F33" s="64">
        <v>0</v>
      </c>
      <c r="G33" s="64">
        <v>1.3657851325438803E-7</v>
      </c>
      <c r="H33" s="64">
        <v>91.999998360069341</v>
      </c>
      <c r="I33" s="64">
        <v>4.4187140628909175E-7</v>
      </c>
      <c r="J33" s="64">
        <v>0</v>
      </c>
      <c r="K33" s="64">
        <v>0</v>
      </c>
      <c r="L33" s="64">
        <v>0</v>
      </c>
      <c r="M33" s="64">
        <v>1.5126291875842212E-7</v>
      </c>
      <c r="N33" s="64">
        <v>1.5126291875842212E-7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4">
        <v>0</v>
      </c>
      <c r="U33" s="64">
        <v>2.3700354794412436E-7</v>
      </c>
      <c r="V33" s="65">
        <v>2.8118939576932519E-8</v>
      </c>
    </row>
    <row r="34" spans="1:22" s="16" customFormat="1" x14ac:dyDescent="0.25"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</row>
    <row r="36" spans="1:22" x14ac:dyDescent="0.25">
      <c r="B36" s="1" t="s">
        <v>4</v>
      </c>
      <c r="C36" s="24">
        <f>+C29*(D6+H6)+D29*(E7+H7)+E29*(F8+H8)+F29*(G9+H9)+G29*(D6+I6)+H29*(E7+I7)+I29*(F8+I8)+J29*(G9+I9)+K29*(D6+J6)+L29*(E7+J7)+M29*(F8+J8)+N29*(G9+J9)+O29*(D6+K6)+P29*(E7+K7)+Q29*(F8+K8)+R29*(G9+K9)+S29*(D6+L6)+T29*(E7+L7)+U29*(F8+L8)+V29*(G9+L9)+C31*(D10+H10)+D31*(E11+H11)+E31*(F12+H12)+F31*(G13+H13)+G31*(D10+I10)+H31*(E11+I11)+I31*(F12+I12)+J31*(G13+I13)+K31*(D10+J10)+L31*(E11+J11)+M31*(F12+J12)+N31*(G13+J13)+O31*(D10+K10)+P31*(E11+K11)+Q31*(F12+K12)+R31*(G13+K13)+S31*(D10+L10)+T31*(E11+L11)+U31*(F12+L12)+V31*(G13+L13)+C33*(D14+H14)+D33*(E15+H15)+E33*(F16+H16)+F33*(G17+H17)+G33*(D14+I14)+H33*(E15+I15)+I33*(F16+I16)+J33*(G17+I17)+K33*(D14+J14)+L33*(E15+J15)+M33*(F16+J16)+N33*(G17+J17)+O33*(D14+K14)+P33*(E15+K15)+Q33*(F16+K16)+R33*(G17+K17)+S33*(D14+L14)+T33*(E15+L15)+U33*(F16+L16)+V33*(G17+L17)</f>
        <v>1652242.7308783382</v>
      </c>
    </row>
    <row r="37" spans="1:22" x14ac:dyDescent="0.25">
      <c r="B37" s="1"/>
      <c r="C37" s="5"/>
    </row>
    <row r="38" spans="1:22" x14ac:dyDescent="0.25">
      <c r="A38" s="1" t="s">
        <v>99</v>
      </c>
    </row>
    <row r="39" spans="1:22" x14ac:dyDescent="0.25">
      <c r="A39" s="1"/>
    </row>
    <row r="40" spans="1:22" x14ac:dyDescent="0.25">
      <c r="A40" s="22" t="s">
        <v>98</v>
      </c>
      <c r="B40" s="22" t="s">
        <v>95</v>
      </c>
      <c r="C40" s="22" t="s">
        <v>94</v>
      </c>
    </row>
    <row r="41" spans="1:22" x14ac:dyDescent="0.25">
      <c r="A41" t="s">
        <v>12</v>
      </c>
      <c r="B41" s="18">
        <f>+SUM(C29:V29)</f>
        <v>230.00000087689978</v>
      </c>
      <c r="C41" s="2">
        <f>+M6</f>
        <v>230</v>
      </c>
    </row>
    <row r="42" spans="1:22" x14ac:dyDescent="0.25">
      <c r="A42" t="s">
        <v>96</v>
      </c>
      <c r="B42" s="18">
        <f>+SUM(C31:V31)</f>
        <v>450.0000053056346</v>
      </c>
      <c r="C42" s="2">
        <f>+M10</f>
        <v>450</v>
      </c>
    </row>
    <row r="43" spans="1:22" x14ac:dyDescent="0.25">
      <c r="A43" t="s">
        <v>97</v>
      </c>
      <c r="B43" s="18">
        <f>+SUM(C33:V33)</f>
        <v>91.999999506167583</v>
      </c>
      <c r="C43" s="2">
        <f>+M14</f>
        <v>92</v>
      </c>
    </row>
    <row r="44" spans="1:22" x14ac:dyDescent="0.25">
      <c r="B44" s="18"/>
      <c r="C44" s="2"/>
    </row>
    <row r="45" spans="1:22" x14ac:dyDescent="0.25">
      <c r="B45" s="18"/>
      <c r="C45" s="2"/>
    </row>
    <row r="46" spans="1:22" collapsed="1" x14ac:dyDescent="0.25"/>
    <row r="47" spans="1:22" x14ac:dyDescent="0.25">
      <c r="A47" s="1" t="s">
        <v>100</v>
      </c>
    </row>
    <row r="48" spans="1:22" x14ac:dyDescent="0.25">
      <c r="A48" s="1"/>
    </row>
    <row r="49" spans="1:6" x14ac:dyDescent="0.25">
      <c r="A49" s="22" t="s">
        <v>101</v>
      </c>
      <c r="B49" s="22" t="s">
        <v>95</v>
      </c>
      <c r="C49" s="22" t="s">
        <v>92</v>
      </c>
    </row>
    <row r="50" spans="1:6" x14ac:dyDescent="0.25">
      <c r="A50" t="s">
        <v>14</v>
      </c>
      <c r="B50" s="21">
        <f>+C29+C31+C33+D29+D31+D33+E29+F29+E31+F31+E33+F33</f>
        <v>293.36000400803368</v>
      </c>
      <c r="C50" s="2">
        <f>+H18</f>
        <v>293.36</v>
      </c>
    </row>
    <row r="51" spans="1:6" x14ac:dyDescent="0.25">
      <c r="A51" t="s">
        <v>97</v>
      </c>
      <c r="B51" s="21">
        <f>+G29+G31+G33+H29+I29+J29+H31+I31+J31+H33+I33+J33</f>
        <v>108.08000406847592</v>
      </c>
      <c r="C51" s="2">
        <f>+I18</f>
        <v>108.08000000000001</v>
      </c>
    </row>
    <row r="52" spans="1:6" x14ac:dyDescent="0.25">
      <c r="A52" t="s">
        <v>12</v>
      </c>
      <c r="B52" s="21">
        <f>+K29+L29+K31+L31+K33+L33+M29+N29+M31+N31+M33+N33</f>
        <v>169.83999850642954</v>
      </c>
      <c r="C52" s="2">
        <f>+J18</f>
        <v>169.84</v>
      </c>
    </row>
    <row r="53" spans="1:6" x14ac:dyDescent="0.25">
      <c r="A53" t="s">
        <v>5</v>
      </c>
      <c r="B53" s="21">
        <f>+O29+P29+Q29+R29+O31+P31+Q31+R31+O33+P33+Q33+R33</f>
        <v>154.39999881246533</v>
      </c>
      <c r="C53" s="2">
        <f>+K18</f>
        <v>154.4</v>
      </c>
    </row>
    <row r="54" spans="1:6" x14ac:dyDescent="0.25">
      <c r="A54" t="s">
        <v>0</v>
      </c>
      <c r="B54" s="21">
        <f>+SUM(S29:V29)+SUM(S31:V31)+SUM(S33:V33)</f>
        <v>46.320000293297483</v>
      </c>
      <c r="C54" s="2">
        <f>+L18</f>
        <v>46.32</v>
      </c>
    </row>
    <row r="59" spans="1:6" x14ac:dyDescent="0.25">
      <c r="A59" s="1" t="s">
        <v>102</v>
      </c>
    </row>
    <row r="61" spans="1:6" ht="30" x14ac:dyDescent="0.25">
      <c r="B61" s="22" t="s">
        <v>95</v>
      </c>
      <c r="C61" s="23" t="s">
        <v>103</v>
      </c>
      <c r="D61" s="23" t="s">
        <v>104</v>
      </c>
    </row>
    <row r="62" spans="1:6" x14ac:dyDescent="0.25">
      <c r="A62" t="s">
        <v>88</v>
      </c>
      <c r="B62" s="18">
        <f>+C29+C31+C33+G29+G31+G33+K29+K31+K33+O29+O31+O33+S29+S31+S33</f>
        <v>3.7224303983937176E-7</v>
      </c>
      <c r="C62" s="15">
        <v>0</v>
      </c>
      <c r="D62" s="5">
        <f>+B62*C62</f>
        <v>0</v>
      </c>
      <c r="F62" s="2"/>
    </row>
    <row r="63" spans="1:6" x14ac:dyDescent="0.25">
      <c r="A63" t="s">
        <v>89</v>
      </c>
      <c r="B63" s="18">
        <f>+D29+D31+D33+H29+H31+H33+L29+L31+L33+P29+P31+P33+T29+T31+T33</f>
        <v>771.99999907411234</v>
      </c>
      <c r="C63" s="15">
        <v>1</v>
      </c>
      <c r="D63" s="5">
        <f t="shared" ref="D63:D65" si="0">+B63*C63</f>
        <v>771.99999907411234</v>
      </c>
      <c r="F63" s="2"/>
    </row>
    <row r="64" spans="1:6" x14ac:dyDescent="0.25">
      <c r="A64" t="s">
        <v>90</v>
      </c>
      <c r="B64" s="18">
        <f>+E29+E31+E33+I29+I31+I33+M29+M31+M33+Q29+Q31+Q33+U29+U31+U33</f>
        <v>1.9040185728921577E-6</v>
      </c>
      <c r="C64" s="15">
        <v>0</v>
      </c>
      <c r="D64" s="5">
        <f t="shared" si="0"/>
        <v>0</v>
      </c>
      <c r="F64" s="2"/>
    </row>
    <row r="65" spans="1:6" x14ac:dyDescent="0.25">
      <c r="A65" t="s">
        <v>91</v>
      </c>
      <c r="B65" s="18">
        <f>+F29+F31+F33+J29+J31+J33+N29+N31+N33+R29+R31+R33+V29+V31+V33</f>
        <v>4.3383280810149528E-6</v>
      </c>
      <c r="C65" s="15">
        <v>0</v>
      </c>
      <c r="D65" s="5">
        <f t="shared" si="0"/>
        <v>0</v>
      </c>
      <c r="F65" s="2"/>
    </row>
    <row r="66" spans="1:6" x14ac:dyDescent="0.25">
      <c r="C66" s="16"/>
    </row>
    <row r="67" spans="1:6" x14ac:dyDescent="0.25">
      <c r="A67" t="s">
        <v>93</v>
      </c>
      <c r="C67" s="17">
        <f>+SUM(C62:C65)</f>
        <v>1</v>
      </c>
      <c r="D67" s="2">
        <f>+SUM(D62:D65)</f>
        <v>771.99999907411234</v>
      </c>
    </row>
    <row r="68" spans="1:6" x14ac:dyDescent="0.25">
      <c r="A68" s="1" t="s">
        <v>105</v>
      </c>
      <c r="C68">
        <v>1</v>
      </c>
    </row>
  </sheetData>
  <mergeCells count="5">
    <mergeCell ref="M6:M9"/>
    <mergeCell ref="M10:M13"/>
    <mergeCell ref="M14:M17"/>
    <mergeCell ref="D4:G4"/>
    <mergeCell ref="H4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Modelo Solver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Marin Marin</dc:creator>
  <cp:lastModifiedBy>William Marin Marin</cp:lastModifiedBy>
  <dcterms:created xsi:type="dcterms:W3CDTF">2014-06-16T15:17:38Z</dcterms:created>
  <dcterms:modified xsi:type="dcterms:W3CDTF">2014-07-17T15:51:32Z</dcterms:modified>
</cp:coreProperties>
</file>